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ocuments\PCB\Auto\"/>
    </mc:Choice>
  </mc:AlternateContent>
  <xr:revisionPtr revIDLastSave="0" documentId="13_ncr:1_{F4B216AA-E69F-441E-A480-548B4EA69D09}" xr6:coauthVersionLast="45" xr6:coauthVersionMax="45" xr10:uidLastSave="{00000000-0000-0000-0000-000000000000}"/>
  <bookViews>
    <workbookView xWindow="-120" yWindow="-120" windowWidth="29040" windowHeight="17025" tabRatio="895" xr2:uid="{865C792E-059A-4FD7-9B43-B22C557FE3C6}"/>
  </bookViews>
  <sheets>
    <sheet name="Calculators" sheetId="20" r:id="rId1"/>
    <sheet name="PSW_Sheet" sheetId="21" state="veryHidden" r:id="rId2"/>
  </sheets>
  <definedNames>
    <definedName name="SpreadsheetWEBAction" hidden="1">PSW_Sheet!$K$1</definedName>
    <definedName name="SpreadsheetWEBApplicationId" hidden="1">PSW_Sheet!$F$1</definedName>
    <definedName name="SpreadsheetWEBAttachment" hidden="1">PSW_Sheet!$L$1</definedName>
    <definedName name="SpreadsheetwebCounter" hidden="1">PSW_Sheet!$O$1</definedName>
    <definedName name="SpreadsheetWEBDataEditID" hidden="1">PSW_Sheet!$H$1</definedName>
    <definedName name="SpreadsheetWEBDataID" hidden="1">PSW_Sheet!$G$1</definedName>
    <definedName name="SpreadsheetWEBInternalConnection" hidden="1">PSW_Sheet!$C$1</definedName>
    <definedName name="SpreadsheetwebNow" hidden="1">PSW_Sheet!$N$1</definedName>
    <definedName name="SpreadsheetWEBStatusIndex" hidden="1">PSW_Sheet!$I$1</definedName>
    <definedName name="SpreadsheetWEBUserEmail" hidden="1">PSW_Sheet!$J$1</definedName>
    <definedName name="SpreadsheetWEBUserInfo" hidden="1">PSW_Sheet!$M$1</definedName>
    <definedName name="SpreadsheetWEBUserName" hidden="1">PSW_Sheet!$D$1</definedName>
    <definedName name="SpreadsheetWEBUserRole" hidden="1">PSW_Sheet!$E$1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20" l="1"/>
  <c r="C49" i="20"/>
  <c r="C50" i="20"/>
  <c r="I44" i="20" l="1"/>
  <c r="I43" i="20"/>
  <c r="I41" i="20"/>
  <c r="C33" i="20" l="1"/>
  <c r="G33" i="20"/>
  <c r="C44" i="20"/>
  <c r="C13" i="20"/>
  <c r="G13" i="20" s="1"/>
  <c r="C10" i="20"/>
  <c r="G10" i="20" s="1"/>
  <c r="Q44" i="20" l="1"/>
  <c r="Q43" i="20"/>
  <c r="Q41" i="20"/>
  <c r="I40" i="20"/>
  <c r="Q40" i="20" s="1"/>
  <c r="I33" i="20"/>
  <c r="Q33" i="20" s="1"/>
  <c r="I32" i="20"/>
  <c r="Q32" i="20" s="1"/>
  <c r="I30" i="20"/>
  <c r="Q30" i="20" s="1"/>
  <c r="I29" i="20"/>
  <c r="Q29" i="20" s="1"/>
  <c r="E44" i="20"/>
  <c r="M44" i="20" s="1"/>
  <c r="E43" i="20"/>
  <c r="M43" i="20" s="1"/>
  <c r="E41" i="20"/>
  <c r="M41" i="20" s="1"/>
  <c r="E40" i="20"/>
  <c r="M40" i="20" s="1"/>
  <c r="E33" i="20"/>
  <c r="M33" i="20" s="1"/>
  <c r="E32" i="20"/>
  <c r="M32" i="20" s="1"/>
  <c r="E30" i="20"/>
  <c r="M30" i="20" s="1"/>
  <c r="E29" i="20"/>
  <c r="M29" i="20" s="1"/>
  <c r="G54" i="20"/>
  <c r="O54" i="20" s="1"/>
  <c r="G50" i="20"/>
  <c r="O50" i="20" s="1"/>
  <c r="O49" i="20"/>
  <c r="G44" i="20"/>
  <c r="O44" i="20" s="1"/>
  <c r="G41" i="20"/>
  <c r="O41" i="20" s="1"/>
  <c r="O33" i="20"/>
  <c r="G30" i="20"/>
  <c r="O30" i="20" s="1"/>
  <c r="G23" i="20"/>
  <c r="I23" i="20" s="1"/>
  <c r="C54" i="20"/>
  <c r="K54" i="20" s="1"/>
  <c r="K50" i="20"/>
  <c r="K49" i="20"/>
  <c r="K44" i="20"/>
  <c r="C41" i="20"/>
  <c r="K41" i="20" s="1"/>
  <c r="K33" i="20"/>
  <c r="C30" i="20"/>
  <c r="K30" i="20" s="1"/>
  <c r="C23" i="20"/>
  <c r="E23" i="20" s="1"/>
  <c r="E18" i="20"/>
  <c r="K26" i="20"/>
  <c r="K37" i="20"/>
  <c r="K36" i="20"/>
  <c r="O47" i="20"/>
  <c r="R3" i="20"/>
  <c r="G40" i="20" l="1"/>
  <c r="O40" i="20" s="1"/>
  <c r="C32" i="20"/>
  <c r="K32" i="20" s="1"/>
  <c r="C9" i="20"/>
  <c r="G9" i="20" s="1"/>
  <c r="C43" i="20"/>
  <c r="K43" i="20" s="1"/>
  <c r="C12" i="20"/>
  <c r="G12" i="20" s="1"/>
  <c r="O13" i="20"/>
  <c r="G22" i="20"/>
  <c r="O22" i="20" s="1"/>
  <c r="Q22" i="20" s="1"/>
  <c r="G43" i="20"/>
  <c r="O43" i="20" s="1"/>
  <c r="E17" i="20"/>
  <c r="G29" i="20"/>
  <c r="O29" i="20" s="1"/>
  <c r="C29" i="20"/>
  <c r="K29" i="20" s="1"/>
  <c r="G32" i="20"/>
  <c r="O32" i="20" s="1"/>
  <c r="C22" i="20"/>
  <c r="C40" i="20"/>
  <c r="K40" i="20" s="1"/>
  <c r="K13" i="20"/>
  <c r="K23" i="20"/>
  <c r="M23" i="20" s="1"/>
  <c r="K10" i="20"/>
  <c r="M18" i="20"/>
  <c r="O10" i="20"/>
  <c r="I18" i="20"/>
  <c r="Q18" i="20" s="1"/>
  <c r="O23" i="20"/>
  <c r="Q23" i="20" s="1"/>
  <c r="I22" i="20" l="1"/>
  <c r="E22" i="20" l="1"/>
  <c r="K22" i="20"/>
  <c r="M22" i="20" s="1"/>
  <c r="K12" i="20"/>
  <c r="O12" i="20"/>
  <c r="I17" i="20"/>
  <c r="Q17" i="20" s="1"/>
  <c r="M17" i="20"/>
  <c r="O9" i="20"/>
  <c r="K9" i="20"/>
</calcChain>
</file>

<file path=xl/sharedStrings.xml><?xml version="1.0" encoding="utf-8"?>
<sst xmlns="http://schemas.openxmlformats.org/spreadsheetml/2006/main" count="204" uniqueCount="32">
  <si>
    <t>mm</t>
  </si>
  <si>
    <t>mil</t>
  </si>
  <si>
    <t>/</t>
  </si>
  <si>
    <t>±</t>
  </si>
  <si>
    <t>Metric</t>
  </si>
  <si>
    <t>Microstrip Er =</t>
  </si>
  <si>
    <t xml:space="preserve">Stripline Er = </t>
  </si>
  <si>
    <t>Height Between Agressor &amp; Victim Layers</t>
  </si>
  <si>
    <t>Victim Height to Reference Plane</t>
  </si>
  <si>
    <t>English</t>
  </si>
  <si>
    <t>Effective
Value</t>
  </si>
  <si>
    <t>Extreme
Value</t>
  </si>
  <si>
    <t>Edge Rate (ps)</t>
  </si>
  <si>
    <t>High-Speed Constraint Value Calculator</t>
  </si>
  <si>
    <t>Differential Pairs</t>
  </si>
  <si>
    <t>Microstrip</t>
  </si>
  <si>
    <t>Stripline</t>
  </si>
  <si>
    <t>(Use Victim Edge Rate)</t>
  </si>
  <si>
    <t>Max Stub Length Values for Vias &amp; Traces</t>
  </si>
  <si>
    <t>Critical Length Values</t>
  </si>
  <si>
    <t>Differential Pair Within-Pair Length Match Tolerance</t>
  </si>
  <si>
    <t>Differential Pair Phase Match - Parallel Distance ± Tolerance</t>
  </si>
  <si>
    <t>Same Layer Trace Coupling - Parallel Distance / Clearance Values</t>
  </si>
  <si>
    <t>Adjacent Layer Trace Coupling - Parallel Distance / Clearance Values</t>
  </si>
  <si>
    <t>Same Net Trace Coupling - Clearance Values</t>
  </si>
  <si>
    <t>Problems Begin</t>
  </si>
  <si>
    <t>Problems Definite</t>
  </si>
  <si>
    <t xml:space="preserve">                                                       Single Ended Nets</t>
  </si>
  <si>
    <t xml:space="preserve">                                                                              Differential Pairs</t>
  </si>
  <si>
    <t xml:space="preserve">                                                                            Single Ended Nets</t>
  </si>
  <si>
    <t>Route Height to Ref Plane or Width of 50 Ohm Trace</t>
  </si>
  <si>
    <r>
      <t xml:space="preserve">Copyright </t>
    </r>
    <r>
      <rPr>
        <sz val="9"/>
        <color theme="1"/>
        <rFont val="Calibri"/>
        <family val="2"/>
      </rPr>
      <t>© Charles Pfeil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</si>
</sst>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222222"/>
      <name val="Arial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9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1" fontId="3" fillId="2" borderId="30" xfId="0" applyNumberFormat="1" applyFon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2" fontId="7" fillId="4" borderId="1" xfId="0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left" vertical="center"/>
    </xf>
    <xf numFmtId="1" fontId="7" fillId="4" borderId="9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4" borderId="9" xfId="0" applyNumberFormat="1" applyFont="1" applyFill="1" applyBorder="1" applyAlignment="1">
      <alignment horizontal="left" vertical="center"/>
    </xf>
    <xf numFmtId="1" fontId="7" fillId="4" borderId="11" xfId="0" applyNumberFormat="1" applyFont="1" applyFill="1" applyBorder="1" applyAlignment="1">
      <alignment vertical="center"/>
    </xf>
    <xf numFmtId="2" fontId="7" fillId="4" borderId="15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left" vertical="center"/>
    </xf>
    <xf numFmtId="1" fontId="7" fillId="4" borderId="15" xfId="0" applyNumberFormat="1" applyFont="1" applyFill="1" applyBorder="1" applyAlignment="1">
      <alignment vertical="center"/>
    </xf>
    <xf numFmtId="1" fontId="7" fillId="4" borderId="15" xfId="0" applyNumberFormat="1" applyFont="1" applyFill="1" applyBorder="1" applyAlignment="1">
      <alignment horizontal="left" vertical="center"/>
    </xf>
    <xf numFmtId="2" fontId="7" fillId="0" borderId="22" xfId="0" applyNumberFormat="1" applyFont="1" applyFill="1" applyBorder="1" applyAlignment="1">
      <alignment horizontal="right" vertical="center"/>
    </xf>
    <xf numFmtId="2" fontId="7" fillId="4" borderId="24" xfId="0" applyNumberFormat="1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1" fontId="7" fillId="4" borderId="3" xfId="0" applyNumberFormat="1" applyFont="1" applyFill="1" applyBorder="1" applyAlignment="1"/>
    <xf numFmtId="1" fontId="7" fillId="4" borderId="9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vertical="center"/>
    </xf>
    <xf numFmtId="1" fontId="7" fillId="4" borderId="0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2" fontId="7" fillId="4" borderId="10" xfId="0" applyNumberFormat="1" applyFont="1" applyFill="1" applyBorder="1" applyAlignment="1">
      <alignment horizontal="right" vertical="center"/>
    </xf>
    <xf numFmtId="2" fontId="7" fillId="4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/>
    </xf>
    <xf numFmtId="2" fontId="7" fillId="4" borderId="4" xfId="0" applyNumberFormat="1" applyFont="1" applyFill="1" applyBorder="1" applyAlignment="1"/>
    <xf numFmtId="0" fontId="7" fillId="4" borderId="11" xfId="0" applyFont="1" applyFill="1" applyBorder="1" applyAlignment="1">
      <alignment horizontal="left" vertical="center"/>
    </xf>
    <xf numFmtId="1" fontId="7" fillId="4" borderId="13" xfId="0" applyNumberFormat="1" applyFont="1" applyFill="1" applyBorder="1" applyAlignment="1"/>
    <xf numFmtId="0" fontId="7" fillId="4" borderId="1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1" fontId="7" fillId="4" borderId="15" xfId="0" applyNumberFormat="1" applyFont="1" applyFill="1" applyBorder="1" applyAlignment="1"/>
    <xf numFmtId="0" fontId="7" fillId="4" borderId="6" xfId="0" applyFont="1" applyFill="1" applyBorder="1" applyAlignment="1">
      <alignment horizontal="left" vertical="center"/>
    </xf>
    <xf numFmtId="2" fontId="7" fillId="4" borderId="12" xfId="0" applyNumberFormat="1" applyFont="1" applyFill="1" applyBorder="1" applyAlignment="1">
      <alignment horizontal="right" vertical="center"/>
    </xf>
    <xf numFmtId="2" fontId="7" fillId="4" borderId="15" xfId="0" applyNumberFormat="1" applyFont="1" applyFill="1" applyBorder="1" applyAlignment="1">
      <alignment horizontal="left" vertical="center"/>
    </xf>
    <xf numFmtId="2" fontId="7" fillId="4" borderId="23" xfId="0" applyNumberFormat="1" applyFont="1" applyFill="1" applyBorder="1" applyAlignment="1"/>
    <xf numFmtId="0" fontId="7" fillId="4" borderId="14" xfId="0" applyFont="1" applyFill="1" applyBorder="1" applyAlignment="1">
      <alignment horizontal="left" vertical="center"/>
    </xf>
    <xf numFmtId="1" fontId="7" fillId="4" borderId="3" xfId="0" applyNumberFormat="1" applyFont="1" applyFill="1" applyBorder="1" applyAlignment="1">
      <alignment vertical="center"/>
    </xf>
    <xf numFmtId="1" fontId="7" fillId="4" borderId="0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vertical="center"/>
    </xf>
    <xf numFmtId="1" fontId="7" fillId="4" borderId="4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left" vertical="center"/>
    </xf>
    <xf numFmtId="2" fontId="7" fillId="4" borderId="9" xfId="0" applyNumberFormat="1" applyFont="1" applyFill="1" applyBorder="1" applyAlignment="1">
      <alignment vertical="center"/>
    </xf>
    <xf numFmtId="1" fontId="7" fillId="4" borderId="3" xfId="0" applyNumberFormat="1" applyFont="1" applyFill="1" applyBorder="1"/>
    <xf numFmtId="2" fontId="7" fillId="4" borderId="9" xfId="0" applyNumberFormat="1" applyFont="1" applyFill="1" applyBorder="1"/>
    <xf numFmtId="2" fontId="7" fillId="4" borderId="24" xfId="0" applyNumberFormat="1" applyFont="1" applyFill="1" applyBorder="1" applyAlignment="1"/>
    <xf numFmtId="0" fontId="0" fillId="4" borderId="5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1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5" xfId="0" applyNumberFormat="1" applyFont="1" applyFill="1" applyBorder="1" applyAlignment="1">
      <alignment horizontal="right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vertical="center"/>
    </xf>
    <xf numFmtId="0" fontId="4" fillId="3" borderId="35" xfId="0" applyFont="1" applyFill="1" applyBorder="1" applyAlignment="1" applyProtection="1">
      <alignment horizontal="center" vertical="top"/>
      <protection locked="0"/>
    </xf>
    <xf numFmtId="0" fontId="0" fillId="2" borderId="16" xfId="0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7" xfId="0" applyFont="1" applyFill="1" applyBorder="1" applyAlignment="1">
      <alignment horizontal="right"/>
    </xf>
    <xf numFmtId="0" fontId="0" fillId="2" borderId="17" xfId="0" applyFill="1" applyBorder="1" applyAlignment="1">
      <alignment vertical="center"/>
    </xf>
    <xf numFmtId="1" fontId="3" fillId="2" borderId="17" xfId="0" applyNumberFormat="1" applyFont="1" applyFill="1" applyBorder="1" applyAlignment="1">
      <alignment horizontal="center" vertical="center"/>
    </xf>
    <xf numFmtId="2" fontId="4" fillId="3" borderId="3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/>
    <xf numFmtId="1" fontId="3" fillId="2" borderId="17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right"/>
    </xf>
    <xf numFmtId="2" fontId="3" fillId="2" borderId="21" xfId="0" applyNumberFormat="1" applyFont="1" applyFill="1" applyBorder="1" applyAlignment="1">
      <alignment horizontal="left"/>
    </xf>
    <xf numFmtId="0" fontId="0" fillId="2" borderId="26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0" xfId="0" applyFill="1" applyBorder="1" applyAlignment="1">
      <alignment horizontal="left" vertical="center"/>
    </xf>
    <xf numFmtId="1" fontId="3" fillId="2" borderId="40" xfId="0" applyNumberFormat="1" applyFont="1" applyFill="1" applyBorder="1" applyAlignment="1">
      <alignment horizontal="right" vertical="center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right" vertical="center"/>
    </xf>
    <xf numFmtId="0" fontId="3" fillId="2" borderId="9" xfId="0" applyFont="1" applyFill="1" applyBorder="1" applyAlignment="1"/>
    <xf numFmtId="1" fontId="3" fillId="2" borderId="27" xfId="0" applyNumberFormat="1" applyFont="1" applyFill="1" applyBorder="1" applyAlignment="1">
      <alignment horizontal="center" vertical="center"/>
    </xf>
    <xf numFmtId="1" fontId="3" fillId="2" borderId="28" xfId="0" applyNumberFormat="1" applyFont="1" applyFill="1" applyBorder="1" applyAlignment="1">
      <alignment horizontal="center" vertical="center"/>
    </xf>
    <xf numFmtId="1" fontId="3" fillId="2" borderId="29" xfId="0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49" fontId="3" fillId="9" borderId="18" xfId="0" applyNumberFormat="1" applyFont="1" applyFill="1" applyBorder="1" applyAlignment="1">
      <alignment horizontal="left" vertical="center"/>
    </xf>
    <xf numFmtId="49" fontId="3" fillId="9" borderId="2" xfId="0" applyNumberFormat="1" applyFont="1" applyFill="1" applyBorder="1" applyAlignment="1">
      <alignment horizontal="left" vertical="center"/>
    </xf>
    <xf numFmtId="49" fontId="3" fillId="9" borderId="19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right" vertical="center"/>
    </xf>
    <xf numFmtId="2" fontId="7" fillId="0" borderId="9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1" fontId="7" fillId="0" borderId="9" xfId="0" applyNumberFormat="1" applyFont="1" applyFill="1" applyBorder="1" applyAlignment="1">
      <alignment horizontal="right" vertical="center"/>
    </xf>
    <xf numFmtId="1" fontId="7" fillId="0" borderId="4" xfId="0" applyNumberFormat="1" applyFont="1" applyFill="1" applyBorder="1" applyAlignment="1">
      <alignment horizontal="right" vertical="center"/>
    </xf>
    <xf numFmtId="49" fontId="3" fillId="10" borderId="26" xfId="0" applyNumberFormat="1" applyFont="1" applyFill="1" applyBorder="1" applyAlignment="1">
      <alignment horizontal="center" vertical="center"/>
    </xf>
    <xf numFmtId="49" fontId="3" fillId="10" borderId="2" xfId="0" applyNumberFormat="1" applyFont="1" applyFill="1" applyBorder="1" applyAlignment="1">
      <alignment horizontal="center" vertical="center"/>
    </xf>
    <xf numFmtId="49" fontId="3" fillId="10" borderId="25" xfId="0" applyNumberFormat="1" applyFont="1" applyFill="1" applyBorder="1" applyAlignment="1">
      <alignment horizontal="center" vertical="center"/>
    </xf>
    <xf numFmtId="49" fontId="3" fillId="8" borderId="26" xfId="0" applyNumberFormat="1" applyFont="1" applyFill="1" applyBorder="1" applyAlignment="1">
      <alignment horizontal="center" vertical="center"/>
    </xf>
    <xf numFmtId="49" fontId="3" fillId="8" borderId="2" xfId="0" applyNumberFormat="1" applyFont="1" applyFill="1" applyBorder="1" applyAlignment="1">
      <alignment horizontal="center" vertical="center"/>
    </xf>
    <xf numFmtId="49" fontId="3" fillId="8" borderId="19" xfId="0" applyNumberFormat="1" applyFont="1" applyFill="1" applyBorder="1" applyAlignment="1">
      <alignment horizontal="center" vertical="center"/>
    </xf>
    <xf numFmtId="49" fontId="3" fillId="10" borderId="18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right" vertical="center"/>
    </xf>
    <xf numFmtId="2" fontId="7" fillId="0" borderId="15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164" fontId="3" fillId="7" borderId="2" xfId="0" applyNumberFormat="1" applyFont="1" applyFill="1" applyBorder="1" applyAlignment="1">
      <alignment horizontal="center" vertical="top" wrapText="1"/>
    </xf>
    <xf numFmtId="164" fontId="3" fillId="7" borderId="25" xfId="0" applyNumberFormat="1" applyFont="1" applyFill="1" applyBorder="1" applyAlignment="1">
      <alignment horizontal="center" vertical="top" wrapText="1"/>
    </xf>
    <xf numFmtId="164" fontId="3" fillId="8" borderId="26" xfId="0" applyNumberFormat="1" applyFont="1" applyFill="1" applyBorder="1" applyAlignment="1">
      <alignment horizontal="center" vertical="top" wrapText="1"/>
    </xf>
    <xf numFmtId="164" fontId="3" fillId="8" borderId="2" xfId="0" applyNumberFormat="1" applyFont="1" applyFill="1" applyBorder="1" applyAlignment="1">
      <alignment horizontal="center" vertical="top" wrapText="1"/>
    </xf>
    <xf numFmtId="164" fontId="3" fillId="8" borderId="19" xfId="0" applyNumberFormat="1" applyFont="1" applyFill="1" applyBorder="1" applyAlignment="1">
      <alignment horizontal="center" vertical="top" wrapText="1"/>
    </xf>
    <xf numFmtId="0" fontId="6" fillId="6" borderId="17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164" fontId="3" fillId="7" borderId="26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vertical="center"/>
    </xf>
    <xf numFmtId="0" fontId="6" fillId="6" borderId="2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right" vertical="center"/>
    </xf>
    <xf numFmtId="2" fontId="7" fillId="4" borderId="9" xfId="0" applyNumberFormat="1" applyFont="1" applyFill="1" applyBorder="1" applyAlignment="1">
      <alignment horizontal="right" vertical="center"/>
    </xf>
    <xf numFmtId="2" fontId="7" fillId="4" borderId="4" xfId="0" applyNumberFormat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right" vertical="center"/>
    </xf>
    <xf numFmtId="2" fontId="7" fillId="4" borderId="15" xfId="0" applyNumberFormat="1" applyFont="1" applyFill="1" applyBorder="1" applyAlignment="1">
      <alignment horizontal="right" vertical="center"/>
    </xf>
    <xf numFmtId="2" fontId="7" fillId="4" borderId="13" xfId="0" applyNumberFormat="1" applyFont="1" applyFill="1" applyBorder="1" applyAlignment="1">
      <alignment horizontal="right" vertical="center"/>
    </xf>
    <xf numFmtId="1" fontId="7" fillId="0" borderId="24" xfId="0" applyNumberFormat="1" applyFont="1" applyBorder="1" applyAlignment="1">
      <alignment horizontal="right" vertical="center"/>
    </xf>
    <xf numFmtId="1" fontId="7" fillId="0" borderId="23" xfId="0" applyNumberFormat="1" applyFont="1" applyBorder="1" applyAlignment="1">
      <alignment horizontal="right" vertical="center"/>
    </xf>
    <xf numFmtId="2" fontId="7" fillId="0" borderId="24" xfId="0" applyNumberFormat="1" applyFont="1" applyBorder="1" applyAlignment="1">
      <alignment horizontal="right" vertical="center"/>
    </xf>
    <xf numFmtId="2" fontId="7" fillId="0" borderId="23" xfId="0" applyNumberFormat="1" applyFont="1" applyBorder="1" applyAlignment="1">
      <alignment horizontal="right" vertical="center"/>
    </xf>
    <xf numFmtId="0" fontId="3" fillId="11" borderId="37" xfId="0" applyFont="1" applyFill="1" applyBorder="1" applyAlignment="1">
      <alignment horizontal="center" wrapText="1"/>
    </xf>
    <xf numFmtId="0" fontId="3" fillId="11" borderId="34" xfId="0" applyFont="1" applyFill="1" applyBorder="1" applyAlignment="1">
      <alignment horizontal="center" wrapText="1"/>
    </xf>
    <xf numFmtId="49" fontId="3" fillId="9" borderId="9" xfId="0" applyNumberFormat="1" applyFont="1" applyFill="1" applyBorder="1" applyAlignment="1">
      <alignment horizontal="left" vertical="center"/>
    </xf>
    <xf numFmtId="49" fontId="3" fillId="9" borderId="11" xfId="0" applyNumberFormat="1" applyFont="1" applyFill="1" applyBorder="1" applyAlignment="1">
      <alignment horizontal="left" vertical="center"/>
    </xf>
    <xf numFmtId="49" fontId="3" fillId="9" borderId="4" xfId="0" applyNumberFormat="1" applyFont="1" applyFill="1" applyBorder="1" applyAlignment="1">
      <alignment horizontal="left" vertical="center"/>
    </xf>
    <xf numFmtId="0" fontId="3" fillId="11" borderId="37" xfId="0" applyFont="1" applyFill="1" applyBorder="1" applyAlignment="1">
      <alignment horizontal="center" vertical="center" wrapText="1"/>
    </xf>
    <xf numFmtId="0" fontId="3" fillId="11" borderId="34" xfId="0" applyFont="1" applyFill="1" applyBorder="1" applyAlignment="1">
      <alignment horizontal="center" vertical="center" wrapText="1"/>
    </xf>
    <xf numFmtId="49" fontId="3" fillId="9" borderId="18" xfId="0" applyNumberFormat="1" applyFont="1" applyFill="1" applyBorder="1" applyAlignment="1">
      <alignment horizontal="center" vertical="center"/>
    </xf>
    <xf numFmtId="49" fontId="3" fillId="9" borderId="2" xfId="0" applyNumberFormat="1" applyFont="1" applyFill="1" applyBorder="1" applyAlignment="1">
      <alignment horizontal="center" vertical="center"/>
    </xf>
    <xf numFmtId="49" fontId="3" fillId="9" borderId="19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1" fontId="3" fillId="2" borderId="2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>
      <alignment horizontal="right" vertical="center"/>
    </xf>
    <xf numFmtId="1" fontId="7" fillId="0" borderId="13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</cellXfs>
  <cellStyles count="2">
    <cellStyle name="Normal" xfId="0" builtinId="0"/>
    <cellStyle name="Normal 2" xfId="1" xr:uid="{9710C279-0E98-4EC2-9356-6C68789E4156}"/>
  </cellStyles>
  <dxfs count="0"/>
  <tableStyles count="0" defaultTableStyle="TableStyleMedium2" defaultPivotStyle="PivotStyleLight16"/>
  <colors>
    <mruColors>
      <color rgb="FFFFFFAF"/>
      <color rgb="FFDFC9EF"/>
      <color rgb="FFC1CB8F"/>
      <color rgb="FFE8D8F4"/>
      <color rgb="FFFFFFD1"/>
      <color rgb="FFE7E1FF"/>
      <color rgb="FFC2D1EC"/>
      <color rgb="FFE1D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086C-D7AF-493A-AE99-198E3BC2961B}">
  <dimension ref="A1:U56"/>
  <sheetViews>
    <sheetView showGridLines="0" showRowColHeaders="0" tabSelected="1" zoomScaleNormal="100" workbookViewId="0">
      <selection activeCell="I37" sqref="I37"/>
    </sheetView>
  </sheetViews>
  <sheetFormatPr defaultRowHeight="13.5" customHeight="1" x14ac:dyDescent="0.25"/>
  <cols>
    <col min="1" max="1" width="6.7109375" style="1" customWidth="1"/>
    <col min="2" max="2" width="10.85546875" style="1" customWidth="1"/>
    <col min="3" max="3" width="6" style="1" customWidth="1"/>
    <col min="4" max="4" width="1.42578125" style="1" customWidth="1"/>
    <col min="5" max="5" width="4.85546875" style="1" customWidth="1"/>
    <col min="6" max="6" width="3.7109375" style="3" customWidth="1"/>
    <col min="7" max="7" width="5.140625" style="1" customWidth="1"/>
    <col min="8" max="8" width="1.42578125" style="1" customWidth="1"/>
    <col min="9" max="9" width="5" style="1" customWidth="1"/>
    <col min="10" max="10" width="3.85546875" style="1" customWidth="1"/>
    <col min="11" max="11" width="6.42578125" style="1" customWidth="1"/>
    <col min="12" max="12" width="1.42578125" style="1" customWidth="1"/>
    <col min="13" max="13" width="6.7109375" style="1" customWidth="1"/>
    <col min="14" max="14" width="3.5703125" style="1" customWidth="1"/>
    <col min="15" max="15" width="6.7109375" style="1" customWidth="1"/>
    <col min="16" max="16" width="1.42578125" style="1" customWidth="1"/>
    <col min="17" max="17" width="5.28515625" style="1" customWidth="1"/>
    <col min="18" max="18" width="4.28515625" style="3" customWidth="1"/>
    <col min="19" max="19" width="4.5703125" style="1" customWidth="1"/>
    <col min="20" max="20" width="5.140625" style="1" customWidth="1"/>
    <col min="21" max="21" width="4.7109375" style="1" customWidth="1"/>
    <col min="22" max="16384" width="9.140625" style="1"/>
  </cols>
  <sheetData>
    <row r="1" spans="1:21" ht="13.5" customHeight="1" thickBot="1" x14ac:dyDescent="0.3"/>
    <row r="2" spans="1:21" ht="22.5" customHeight="1" thickBot="1" x14ac:dyDescent="0.3">
      <c r="B2" s="182" t="s">
        <v>13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21" ht="13.5" customHeight="1" thickBot="1" x14ac:dyDescent="0.3">
      <c r="B3" s="89"/>
      <c r="C3" s="90"/>
      <c r="D3" s="91" t="s">
        <v>12</v>
      </c>
      <c r="E3" s="188">
        <v>300</v>
      </c>
      <c r="F3" s="189"/>
      <c r="G3" s="92"/>
      <c r="H3" s="93"/>
      <c r="I3" s="92"/>
      <c r="J3" s="92"/>
      <c r="K3" s="92"/>
      <c r="L3" s="91" t="s">
        <v>6</v>
      </c>
      <c r="M3" s="94">
        <v>4.0999999999999996</v>
      </c>
      <c r="N3" s="93"/>
      <c r="O3" s="95"/>
      <c r="P3" s="96"/>
      <c r="Q3" s="97" t="s">
        <v>5</v>
      </c>
      <c r="R3" s="98">
        <f>(0.64*M3)+0.36</f>
        <v>2.9839999999999995</v>
      </c>
    </row>
    <row r="4" spans="1:21" ht="14.25" customHeight="1" thickBot="1" x14ac:dyDescent="0.25">
      <c r="B4" s="185" t="s">
        <v>9</v>
      </c>
      <c r="C4" s="186"/>
      <c r="D4" s="186"/>
      <c r="E4" s="186"/>
      <c r="F4" s="186"/>
      <c r="G4" s="186"/>
      <c r="H4" s="186"/>
      <c r="I4" s="186"/>
      <c r="J4" s="187"/>
      <c r="K4" s="116" t="s">
        <v>4</v>
      </c>
      <c r="L4" s="117"/>
      <c r="M4" s="117"/>
      <c r="N4" s="117"/>
      <c r="O4" s="117"/>
      <c r="P4" s="117"/>
      <c r="Q4" s="117"/>
      <c r="R4" s="118"/>
    </row>
    <row r="5" spans="1:21" s="70" customFormat="1" ht="3.75" customHeight="1" x14ac:dyDescent="0.25">
      <c r="F5" s="71"/>
      <c r="R5" s="71"/>
    </row>
    <row r="6" spans="1:21" ht="18" customHeight="1" thickBot="1" x14ac:dyDescent="0.3">
      <c r="B6" s="119" t="s">
        <v>19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1:21" ht="13.5" customHeight="1" x14ac:dyDescent="0.25">
      <c r="B7" s="73"/>
      <c r="C7" s="135" t="s">
        <v>25</v>
      </c>
      <c r="D7" s="136"/>
      <c r="E7" s="136"/>
      <c r="F7" s="137"/>
      <c r="G7" s="138" t="s">
        <v>26</v>
      </c>
      <c r="H7" s="139"/>
      <c r="I7" s="139"/>
      <c r="J7" s="140"/>
      <c r="K7" s="141" t="s">
        <v>25</v>
      </c>
      <c r="L7" s="136"/>
      <c r="M7" s="136"/>
      <c r="N7" s="137"/>
      <c r="O7" s="138" t="s">
        <v>26</v>
      </c>
      <c r="P7" s="139"/>
      <c r="Q7" s="139"/>
      <c r="R7" s="140"/>
      <c r="U7" s="2"/>
    </row>
    <row r="8" spans="1:21" ht="15" x14ac:dyDescent="0.25">
      <c r="A8" s="4"/>
      <c r="B8" s="125" t="s">
        <v>29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7"/>
      <c r="U8" s="2"/>
    </row>
    <row r="9" spans="1:21" ht="14.25" customHeight="1" x14ac:dyDescent="0.25">
      <c r="B9" s="9" t="s">
        <v>15</v>
      </c>
      <c r="C9" s="134">
        <f>($E$3*11.8/4)/(SQRT(R$3))</f>
        <v>512.32300939128493</v>
      </c>
      <c r="D9" s="133"/>
      <c r="E9" s="128" t="s">
        <v>1</v>
      </c>
      <c r="F9" s="129"/>
      <c r="G9" s="133">
        <f>C9*2</f>
        <v>1024.6460187825699</v>
      </c>
      <c r="H9" s="133"/>
      <c r="I9" s="128" t="s">
        <v>1</v>
      </c>
      <c r="J9" s="129"/>
      <c r="K9" s="144">
        <f>C9*25.4/1000</f>
        <v>13.013004438538637</v>
      </c>
      <c r="L9" s="131"/>
      <c r="M9" s="128" t="s">
        <v>0</v>
      </c>
      <c r="N9" s="128"/>
      <c r="O9" s="130">
        <f>G9*25.4/1000</f>
        <v>26.026008877077274</v>
      </c>
      <c r="P9" s="131"/>
      <c r="Q9" s="128" t="s">
        <v>0</v>
      </c>
      <c r="R9" s="132"/>
    </row>
    <row r="10" spans="1:21" ht="14.25" customHeight="1" x14ac:dyDescent="0.25">
      <c r="B10" s="9" t="s">
        <v>16</v>
      </c>
      <c r="C10" s="134">
        <f>($E$3*11.8/4)/(SQRT(M$3))</f>
        <v>437.07034651744345</v>
      </c>
      <c r="D10" s="133"/>
      <c r="E10" s="128" t="s">
        <v>1</v>
      </c>
      <c r="F10" s="129"/>
      <c r="G10" s="133">
        <f>C10*2</f>
        <v>874.14069303488691</v>
      </c>
      <c r="H10" s="133"/>
      <c r="I10" s="128" t="s">
        <v>1</v>
      </c>
      <c r="J10" s="129"/>
      <c r="K10" s="144">
        <f>C10*25.4/1000</f>
        <v>11.101586801543062</v>
      </c>
      <c r="L10" s="131"/>
      <c r="M10" s="128" t="s">
        <v>0</v>
      </c>
      <c r="N10" s="128"/>
      <c r="O10" s="130">
        <f>G10*25.4/1000</f>
        <v>22.203173603086125</v>
      </c>
      <c r="P10" s="131"/>
      <c r="Q10" s="128" t="s">
        <v>0</v>
      </c>
      <c r="R10" s="132"/>
    </row>
    <row r="11" spans="1:21" ht="15" x14ac:dyDescent="0.25">
      <c r="A11" s="4"/>
      <c r="B11" s="125" t="s">
        <v>28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  <c r="U11" s="2"/>
    </row>
    <row r="12" spans="1:21" ht="13.5" customHeight="1" x14ac:dyDescent="0.25">
      <c r="B12" s="9" t="s">
        <v>15</v>
      </c>
      <c r="C12" s="134">
        <f>($E$3*11.8/4)/(SQRT(R$3))*0.91</f>
        <v>466.2139385460693</v>
      </c>
      <c r="D12" s="133"/>
      <c r="E12" s="128" t="s">
        <v>1</v>
      </c>
      <c r="F12" s="129"/>
      <c r="G12" s="133">
        <f>C12*2</f>
        <v>932.4278770921386</v>
      </c>
      <c r="H12" s="133"/>
      <c r="I12" s="128" t="s">
        <v>1</v>
      </c>
      <c r="J12" s="129"/>
      <c r="K12" s="144">
        <f>C12*25.4/1000</f>
        <v>11.841834039070159</v>
      </c>
      <c r="L12" s="131"/>
      <c r="M12" s="128" t="s">
        <v>0</v>
      </c>
      <c r="N12" s="128"/>
      <c r="O12" s="130">
        <f>G12*25.4/1000</f>
        <v>23.683668078140318</v>
      </c>
      <c r="P12" s="131"/>
      <c r="Q12" s="128" t="s">
        <v>0</v>
      </c>
      <c r="R12" s="132"/>
    </row>
    <row r="13" spans="1:21" ht="13.5" customHeight="1" thickBot="1" x14ac:dyDescent="0.3">
      <c r="B13" s="10" t="s">
        <v>16</v>
      </c>
      <c r="C13" s="191">
        <f>($E$3*11.8/4)/(SQRT(M$3))*0.91</f>
        <v>397.73401533087355</v>
      </c>
      <c r="D13" s="147"/>
      <c r="E13" s="145" t="s">
        <v>1</v>
      </c>
      <c r="F13" s="148"/>
      <c r="G13" s="147">
        <f>C13*2</f>
        <v>795.46803066174709</v>
      </c>
      <c r="H13" s="147"/>
      <c r="I13" s="145" t="s">
        <v>1</v>
      </c>
      <c r="J13" s="148"/>
      <c r="K13" s="190">
        <f>C13*25.4/1000</f>
        <v>10.102443989404188</v>
      </c>
      <c r="L13" s="143"/>
      <c r="M13" s="145" t="s">
        <v>0</v>
      </c>
      <c r="N13" s="145"/>
      <c r="O13" s="142">
        <f>G13*25.4/1000</f>
        <v>20.204887978808376</v>
      </c>
      <c r="P13" s="143"/>
      <c r="Q13" s="145" t="s">
        <v>0</v>
      </c>
      <c r="R13" s="146"/>
    </row>
    <row r="14" spans="1:21" s="70" customFormat="1" ht="3.75" customHeight="1" thickBot="1" x14ac:dyDescent="0.3">
      <c r="F14" s="71"/>
      <c r="R14" s="71"/>
    </row>
    <row r="15" spans="1:21" ht="18" customHeight="1" thickBot="1" x14ac:dyDescent="0.3">
      <c r="B15" s="122" t="s">
        <v>20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4"/>
    </row>
    <row r="16" spans="1:21" ht="13.5" customHeight="1" x14ac:dyDescent="0.25">
      <c r="B16" s="72"/>
      <c r="C16" s="156" t="s">
        <v>10</v>
      </c>
      <c r="D16" s="149"/>
      <c r="E16" s="149"/>
      <c r="F16" s="150"/>
      <c r="G16" s="151" t="s">
        <v>11</v>
      </c>
      <c r="H16" s="152"/>
      <c r="I16" s="152"/>
      <c r="J16" s="153"/>
      <c r="K16" s="156" t="s">
        <v>10</v>
      </c>
      <c r="L16" s="149"/>
      <c r="M16" s="149"/>
      <c r="N16" s="150"/>
      <c r="O16" s="151" t="s">
        <v>11</v>
      </c>
      <c r="P16" s="152"/>
      <c r="Q16" s="152"/>
      <c r="R16" s="153"/>
    </row>
    <row r="17" spans="1:21" ht="13.5" customHeight="1" x14ac:dyDescent="0.25">
      <c r="A17" s="4"/>
      <c r="B17" s="9" t="s">
        <v>15</v>
      </c>
      <c r="C17" s="15"/>
      <c r="D17" s="18" t="s">
        <v>3</v>
      </c>
      <c r="E17" s="19">
        <f>0.6*$E$3*(11.8)/((SQRT(R$3)))/2</f>
        <v>614.78761126954191</v>
      </c>
      <c r="F17" s="20" t="s">
        <v>1</v>
      </c>
      <c r="G17" s="15"/>
      <c r="H17" s="18" t="s">
        <v>3</v>
      </c>
      <c r="I17" s="19">
        <f>E17/4</f>
        <v>153.69690281738548</v>
      </c>
      <c r="J17" s="20" t="s">
        <v>1</v>
      </c>
      <c r="K17" s="21"/>
      <c r="L17" s="18" t="s">
        <v>3</v>
      </c>
      <c r="M17" s="22">
        <f>E17*25.4/1000</f>
        <v>15.615605326246364</v>
      </c>
      <c r="N17" s="20" t="s">
        <v>0</v>
      </c>
      <c r="O17" s="15"/>
      <c r="P17" s="18" t="s">
        <v>3</v>
      </c>
      <c r="Q17" s="22">
        <f>I17*25.4/1000</f>
        <v>3.9039013315615909</v>
      </c>
      <c r="R17" s="23" t="s">
        <v>0</v>
      </c>
    </row>
    <row r="18" spans="1:21" ht="13.5" customHeight="1" thickBot="1" x14ac:dyDescent="0.3">
      <c r="B18" s="10" t="s">
        <v>16</v>
      </c>
      <c r="C18" s="16"/>
      <c r="D18" s="24" t="s">
        <v>3</v>
      </c>
      <c r="E18" s="25">
        <f>0.6*$E$3*(11.8)/((SQRT(M$3)))/2</f>
        <v>524.4844158209321</v>
      </c>
      <c r="F18" s="26" t="s">
        <v>1</v>
      </c>
      <c r="G18" s="17"/>
      <c r="H18" s="24" t="s">
        <v>3</v>
      </c>
      <c r="I18" s="27">
        <f>E18/4</f>
        <v>131.12110395523302</v>
      </c>
      <c r="J18" s="25" t="s">
        <v>1</v>
      </c>
      <c r="K18" s="28"/>
      <c r="L18" s="24" t="s">
        <v>3</v>
      </c>
      <c r="M18" s="29">
        <f>E18*25.4/1000</f>
        <v>13.321904161851675</v>
      </c>
      <c r="N18" s="30" t="s">
        <v>0</v>
      </c>
      <c r="O18" s="17"/>
      <c r="P18" s="24" t="s">
        <v>3</v>
      </c>
      <c r="Q18" s="29">
        <f>I18*25.4/1000</f>
        <v>3.3304760404629188</v>
      </c>
      <c r="R18" s="31" t="s">
        <v>0</v>
      </c>
      <c r="S18" s="2"/>
    </row>
    <row r="19" spans="1:21" s="70" customFormat="1" ht="3.75" customHeight="1" thickBot="1" x14ac:dyDescent="0.3">
      <c r="F19" s="71"/>
      <c r="R19" s="71"/>
    </row>
    <row r="20" spans="1:21" ht="18" customHeight="1" thickBot="1" x14ac:dyDescent="0.3">
      <c r="B20" s="158" t="s">
        <v>21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4"/>
    </row>
    <row r="21" spans="1:21" ht="13.5" customHeight="1" x14ac:dyDescent="0.25">
      <c r="B21" s="74"/>
      <c r="C21" s="156" t="s">
        <v>10</v>
      </c>
      <c r="D21" s="149"/>
      <c r="E21" s="149"/>
      <c r="F21" s="150"/>
      <c r="G21" s="151" t="s">
        <v>11</v>
      </c>
      <c r="H21" s="152"/>
      <c r="I21" s="152"/>
      <c r="J21" s="153"/>
      <c r="K21" s="156" t="s">
        <v>10</v>
      </c>
      <c r="L21" s="149"/>
      <c r="M21" s="149"/>
      <c r="N21" s="150"/>
      <c r="O21" s="151" t="s">
        <v>11</v>
      </c>
      <c r="P21" s="152"/>
      <c r="Q21" s="152"/>
      <c r="R21" s="153"/>
    </row>
    <row r="22" spans="1:21" ht="13.5" customHeight="1" x14ac:dyDescent="0.2">
      <c r="B22" s="9" t="s">
        <v>15</v>
      </c>
      <c r="C22" s="32">
        <f>($E$3*11.8)/(SQRT(R$3))</f>
        <v>2049.2920375651397</v>
      </c>
      <c r="D22" s="33" t="s">
        <v>3</v>
      </c>
      <c r="E22" s="58">
        <f>C22/12</f>
        <v>170.77433646376164</v>
      </c>
      <c r="F22" s="35" t="s">
        <v>1</v>
      </c>
      <c r="G22" s="36">
        <f>($E$3*11.8/4)/(SQRT(R$3))</f>
        <v>512.32300939128493</v>
      </c>
      <c r="H22" s="37" t="s">
        <v>3</v>
      </c>
      <c r="I22" s="58">
        <f>G22/12</f>
        <v>42.693584115940411</v>
      </c>
      <c r="J22" s="38" t="s">
        <v>1</v>
      </c>
      <c r="K22" s="39">
        <f>C22*25.4/1000</f>
        <v>52.052017754154548</v>
      </c>
      <c r="L22" s="40" t="s">
        <v>3</v>
      </c>
      <c r="M22" s="22">
        <f>K22/12</f>
        <v>4.3376681461795457</v>
      </c>
      <c r="N22" s="41" t="s">
        <v>0</v>
      </c>
      <c r="O22" s="42">
        <f>G22*25.4/1000</f>
        <v>13.013004438538637</v>
      </c>
      <c r="P22" s="40" t="s">
        <v>3</v>
      </c>
      <c r="Q22" s="22">
        <f>O22/12</f>
        <v>1.0844170365448864</v>
      </c>
      <c r="R22" s="43" t="s">
        <v>0</v>
      </c>
    </row>
    <row r="23" spans="1:21" ht="13.5" customHeight="1" thickBot="1" x14ac:dyDescent="0.25">
      <c r="B23" s="10" t="s">
        <v>16</v>
      </c>
      <c r="C23" s="44">
        <f>($E$3*11.8)/(SQRT(M$3))</f>
        <v>1748.2813860697738</v>
      </c>
      <c r="D23" s="45" t="s">
        <v>3</v>
      </c>
      <c r="E23" s="27">
        <f>C23/12</f>
        <v>145.69011550581448</v>
      </c>
      <c r="F23" s="46" t="s">
        <v>1</v>
      </c>
      <c r="G23" s="47">
        <f>($E$3*11.8/4)/(SQRT(M$3))</f>
        <v>437.07034651744345</v>
      </c>
      <c r="H23" s="45" t="s">
        <v>3</v>
      </c>
      <c r="I23" s="27">
        <f>G23/12</f>
        <v>36.422528876453619</v>
      </c>
      <c r="J23" s="48" t="s">
        <v>1</v>
      </c>
      <c r="K23" s="49">
        <f>C23*25.4/1000</f>
        <v>44.406347206172249</v>
      </c>
      <c r="L23" s="45" t="s">
        <v>3</v>
      </c>
      <c r="M23" s="50">
        <f>K23/12</f>
        <v>3.7005289338476874</v>
      </c>
      <c r="N23" s="25" t="s">
        <v>0</v>
      </c>
      <c r="O23" s="51">
        <f>G23*25.4/1000</f>
        <v>11.101586801543062</v>
      </c>
      <c r="P23" s="45" t="s">
        <v>3</v>
      </c>
      <c r="Q23" s="50">
        <f>O23/12</f>
        <v>0.92513223346192186</v>
      </c>
      <c r="R23" s="52" t="s">
        <v>0</v>
      </c>
    </row>
    <row r="24" spans="1:21" s="70" customFormat="1" ht="3.75" customHeight="1" thickBot="1" x14ac:dyDescent="0.3">
      <c r="F24" s="71"/>
      <c r="R24" s="71"/>
    </row>
    <row r="25" spans="1:21" ht="18" customHeight="1" x14ac:dyDescent="0.25">
      <c r="B25" s="122" t="s">
        <v>22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5"/>
    </row>
    <row r="26" spans="1:21" ht="13.5" customHeight="1" x14ac:dyDescent="0.2">
      <c r="B26" s="101"/>
      <c r="C26" s="85"/>
      <c r="D26" s="77"/>
      <c r="E26" s="77"/>
      <c r="F26" s="77"/>
      <c r="G26" s="77"/>
      <c r="H26" s="86" t="s">
        <v>8</v>
      </c>
      <c r="I26" s="88">
        <v>6</v>
      </c>
      <c r="J26" s="115" t="s">
        <v>1</v>
      </c>
      <c r="K26" s="76">
        <f>I26*24.5/1000</f>
        <v>0.14699999999999999</v>
      </c>
      <c r="L26" s="157" t="s">
        <v>0</v>
      </c>
      <c r="M26" s="157"/>
      <c r="N26" s="87"/>
      <c r="O26" s="85"/>
      <c r="P26" s="85"/>
      <c r="Q26" s="85"/>
      <c r="R26" s="80"/>
    </row>
    <row r="27" spans="1:21" ht="13.5" customHeight="1" x14ac:dyDescent="0.25">
      <c r="B27" s="172" t="s">
        <v>17</v>
      </c>
      <c r="C27" s="149" t="s">
        <v>10</v>
      </c>
      <c r="D27" s="149"/>
      <c r="E27" s="149"/>
      <c r="F27" s="150"/>
      <c r="G27" s="151" t="s">
        <v>11</v>
      </c>
      <c r="H27" s="152"/>
      <c r="I27" s="152"/>
      <c r="J27" s="153"/>
      <c r="K27" s="156" t="s">
        <v>10</v>
      </c>
      <c r="L27" s="149"/>
      <c r="M27" s="149"/>
      <c r="N27" s="150"/>
      <c r="O27" s="151" t="s">
        <v>11</v>
      </c>
      <c r="P27" s="152"/>
      <c r="Q27" s="152"/>
      <c r="R27" s="153"/>
    </row>
    <row r="28" spans="1:21" ht="15" x14ac:dyDescent="0.25">
      <c r="A28" s="4"/>
      <c r="B28" s="173"/>
      <c r="C28" s="174" t="s">
        <v>27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5"/>
      <c r="U28" s="2"/>
    </row>
    <row r="29" spans="1:21" ht="13.5" customHeight="1" x14ac:dyDescent="0.25">
      <c r="B29" s="9" t="s">
        <v>15</v>
      </c>
      <c r="C29" s="53">
        <f>($E$3*11.8/2)/(SQRT(R$3))</f>
        <v>1024.6460187825699</v>
      </c>
      <c r="D29" s="54" t="s">
        <v>2</v>
      </c>
      <c r="E29" s="34">
        <f>IF($E$3&gt;350,2*$I$26,4*$I$26)</f>
        <v>24</v>
      </c>
      <c r="F29" s="35" t="s">
        <v>1</v>
      </c>
      <c r="G29" s="36">
        <f>($E$3*11.8/3)/(SQRT(R$3))</f>
        <v>683.09734585504657</v>
      </c>
      <c r="H29" s="37" t="s">
        <v>2</v>
      </c>
      <c r="I29" s="34">
        <f>IF($E$3&gt;350,4*$I$26,6*$I$26)</f>
        <v>36</v>
      </c>
      <c r="J29" s="38" t="s">
        <v>1</v>
      </c>
      <c r="K29" s="39">
        <f>C29*25.4/1000</f>
        <v>26.026008877077274</v>
      </c>
      <c r="L29" s="40" t="s">
        <v>2</v>
      </c>
      <c r="M29" s="22">
        <f>E29*25.4/1000</f>
        <v>0.60959999999999992</v>
      </c>
      <c r="N29" s="41" t="s">
        <v>0</v>
      </c>
      <c r="O29" s="55">
        <f>G29*25.4/1000</f>
        <v>17.350672584718179</v>
      </c>
      <c r="P29" s="40" t="s">
        <v>2</v>
      </c>
      <c r="Q29" s="22">
        <f>I29*25.4/1000</f>
        <v>0.91439999999999999</v>
      </c>
      <c r="R29" s="43" t="s">
        <v>0</v>
      </c>
    </row>
    <row r="30" spans="1:21" ht="13.5" customHeight="1" x14ac:dyDescent="0.25">
      <c r="B30" s="9" t="s">
        <v>16</v>
      </c>
      <c r="C30" s="56">
        <f>($E$3*11.8/2)/(SQRT(M$3))</f>
        <v>874.14069303488691</v>
      </c>
      <c r="D30" s="33" t="s">
        <v>2</v>
      </c>
      <c r="E30" s="41">
        <f>IF($E$3&gt;350,$I$26,2*$I$26)</f>
        <v>12</v>
      </c>
      <c r="F30" s="35" t="s">
        <v>1</v>
      </c>
      <c r="G30" s="20">
        <f>($E$3*11.8/3)/(SQRT(M$3))</f>
        <v>582.7604620232579</v>
      </c>
      <c r="H30" s="57" t="s">
        <v>2</v>
      </c>
      <c r="I30" s="41">
        <f>IF($E$3&gt;350,3*$I$26,4*$I$26)</f>
        <v>24</v>
      </c>
      <c r="J30" s="38" t="s">
        <v>1</v>
      </c>
      <c r="K30" s="39">
        <f>C30*25.4/1000</f>
        <v>22.203173603086125</v>
      </c>
      <c r="L30" s="57" t="s">
        <v>2</v>
      </c>
      <c r="M30" s="22">
        <f>E30*25.4/1000</f>
        <v>0.30479999999999996</v>
      </c>
      <c r="N30" s="41" t="s">
        <v>0</v>
      </c>
      <c r="O30" s="55">
        <f>G30*25.4/1000</f>
        <v>14.80211573539075</v>
      </c>
      <c r="P30" s="57" t="s">
        <v>2</v>
      </c>
      <c r="Q30" s="22">
        <f>I30*25.4/1000</f>
        <v>0.60959999999999992</v>
      </c>
      <c r="R30" s="43" t="s">
        <v>0</v>
      </c>
    </row>
    <row r="31" spans="1:21" ht="15" x14ac:dyDescent="0.25">
      <c r="A31" s="4"/>
      <c r="B31" s="125" t="s">
        <v>28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7"/>
      <c r="U31" s="2"/>
    </row>
    <row r="32" spans="1:21" ht="13.5" customHeight="1" x14ac:dyDescent="0.2">
      <c r="B32" s="9" t="s">
        <v>15</v>
      </c>
      <c r="C32" s="32">
        <f>($E$3*11.8/2)/(SQRT(R$3))*0.91</f>
        <v>932.4278770921386</v>
      </c>
      <c r="D32" s="33" t="s">
        <v>2</v>
      </c>
      <c r="E32" s="34">
        <f>IF($E$3&gt;350,3*$I$26,5*$I$26)</f>
        <v>30</v>
      </c>
      <c r="F32" s="35" t="s">
        <v>1</v>
      </c>
      <c r="G32" s="36">
        <f>($E$3*11.8/3)/(SQRT(R$3))*0.91</f>
        <v>621.6185847280924</v>
      </c>
      <c r="H32" s="37" t="s">
        <v>2</v>
      </c>
      <c r="I32" s="34">
        <f>IF($E$3&gt;350,5*$I$26,7*$I$26)</f>
        <v>42</v>
      </c>
      <c r="J32" s="38" t="s">
        <v>1</v>
      </c>
      <c r="K32" s="39">
        <f>C32*25.4/1000</f>
        <v>23.683668078140318</v>
      </c>
      <c r="L32" s="40" t="s">
        <v>2</v>
      </c>
      <c r="M32" s="22">
        <f>E32*25.4/1000</f>
        <v>0.76200000000000001</v>
      </c>
      <c r="N32" s="41" t="s">
        <v>0</v>
      </c>
      <c r="O32" s="42">
        <f>G32*25.4/1000</f>
        <v>15.789112052093545</v>
      </c>
      <c r="P32" s="40" t="s">
        <v>2</v>
      </c>
      <c r="Q32" s="22">
        <f>I32*25.4/1000</f>
        <v>1.0668</v>
      </c>
      <c r="R32" s="43" t="s">
        <v>0</v>
      </c>
    </row>
    <row r="33" spans="1:21" ht="13.5" customHeight="1" thickBot="1" x14ac:dyDescent="0.25">
      <c r="B33" s="10" t="s">
        <v>16</v>
      </c>
      <c r="C33" s="44">
        <f>($E$3*11.8/2)/(SQRT(M$3))*0.91</f>
        <v>795.46803066174709</v>
      </c>
      <c r="D33" s="45" t="s">
        <v>2</v>
      </c>
      <c r="E33" s="25">
        <f>IF($E$3&gt;350,2*$I$26,4*$I$26)</f>
        <v>24</v>
      </c>
      <c r="F33" s="46" t="s">
        <v>1</v>
      </c>
      <c r="G33" s="47">
        <f>($E$3*11.8/3)/(SQRT(M$3))*0.91</f>
        <v>530.31202044116469</v>
      </c>
      <c r="H33" s="45" t="s">
        <v>2</v>
      </c>
      <c r="I33" s="25">
        <f>IF($E$3&gt;350,4*$I$26,6*$I$26)</f>
        <v>36</v>
      </c>
      <c r="J33" s="48" t="s">
        <v>1</v>
      </c>
      <c r="K33" s="49">
        <f>C33*25.4/1000</f>
        <v>20.204887978808376</v>
      </c>
      <c r="L33" s="45" t="s">
        <v>2</v>
      </c>
      <c r="M33" s="50">
        <f>E33*25.4/1000</f>
        <v>0.60959999999999992</v>
      </c>
      <c r="N33" s="25" t="s">
        <v>0</v>
      </c>
      <c r="O33" s="51">
        <f>G33*25.4/1000</f>
        <v>13.469925319205583</v>
      </c>
      <c r="P33" s="45" t="s">
        <v>2</v>
      </c>
      <c r="Q33" s="50">
        <f>I33*25.4/1000</f>
        <v>0.91439999999999999</v>
      </c>
      <c r="R33" s="52" t="s">
        <v>0</v>
      </c>
    </row>
    <row r="34" spans="1:21" s="70" customFormat="1" ht="3.75" customHeight="1" thickBot="1" x14ac:dyDescent="0.3">
      <c r="F34" s="71"/>
      <c r="R34" s="71"/>
    </row>
    <row r="35" spans="1:21" ht="18" customHeight="1" thickBot="1" x14ac:dyDescent="0.3">
      <c r="B35" s="158" t="s">
        <v>23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4"/>
    </row>
    <row r="36" spans="1:21" ht="13.5" customHeight="1" x14ac:dyDescent="0.25">
      <c r="B36" s="102"/>
      <c r="C36" s="103"/>
      <c r="D36" s="13"/>
      <c r="E36" s="11"/>
      <c r="F36" s="104"/>
      <c r="G36" s="13"/>
      <c r="H36" s="105" t="s">
        <v>7</v>
      </c>
      <c r="I36" s="106">
        <v>6</v>
      </c>
      <c r="J36" s="81" t="s">
        <v>1</v>
      </c>
      <c r="K36" s="7">
        <f>I36*24.5/1000</f>
        <v>0.14699999999999999</v>
      </c>
      <c r="L36" s="161" t="s">
        <v>0</v>
      </c>
      <c r="M36" s="161"/>
      <c r="N36" s="12"/>
      <c r="O36" s="13"/>
      <c r="P36" s="13"/>
      <c r="Q36" s="13"/>
      <c r="R36" s="79"/>
    </row>
    <row r="37" spans="1:21" ht="13.5" customHeight="1" x14ac:dyDescent="0.25">
      <c r="B37" s="108"/>
      <c r="C37" s="99"/>
      <c r="D37" s="8"/>
      <c r="E37" s="6"/>
      <c r="F37" s="100"/>
      <c r="G37" s="5"/>
      <c r="H37" s="83" t="s">
        <v>8</v>
      </c>
      <c r="I37" s="84">
        <v>4</v>
      </c>
      <c r="J37" s="82" t="s">
        <v>1</v>
      </c>
      <c r="K37" s="78">
        <f>I37*24.5/1000</f>
        <v>9.8000000000000004E-2</v>
      </c>
      <c r="L37" s="157" t="s">
        <v>0</v>
      </c>
      <c r="M37" s="157"/>
      <c r="N37" s="77"/>
      <c r="O37" s="85"/>
      <c r="P37" s="85"/>
      <c r="Q37" s="85"/>
      <c r="R37" s="80"/>
    </row>
    <row r="38" spans="1:21" ht="13.5" customHeight="1" x14ac:dyDescent="0.25">
      <c r="B38" s="177" t="s">
        <v>17</v>
      </c>
      <c r="C38" s="156" t="s">
        <v>10</v>
      </c>
      <c r="D38" s="149"/>
      <c r="E38" s="149"/>
      <c r="F38" s="150"/>
      <c r="G38" s="151" t="s">
        <v>11</v>
      </c>
      <c r="H38" s="152"/>
      <c r="I38" s="152"/>
      <c r="J38" s="153"/>
      <c r="K38" s="156" t="s">
        <v>10</v>
      </c>
      <c r="L38" s="149"/>
      <c r="M38" s="149"/>
      <c r="N38" s="150"/>
      <c r="O38" s="151" t="s">
        <v>11</v>
      </c>
      <c r="P38" s="152"/>
      <c r="Q38" s="152"/>
      <c r="R38" s="153"/>
    </row>
    <row r="39" spans="1:21" ht="15" x14ac:dyDescent="0.25">
      <c r="A39" s="4"/>
      <c r="B39" s="178"/>
      <c r="C39" s="176" t="s">
        <v>27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5"/>
      <c r="U39" s="2"/>
    </row>
    <row r="40" spans="1:21" ht="13.5" customHeight="1" x14ac:dyDescent="0.25">
      <c r="B40" s="9" t="s">
        <v>15</v>
      </c>
      <c r="C40" s="56">
        <f>($E$3*11.8/2)/(SQRT(R$3))</f>
        <v>1024.6460187825699</v>
      </c>
      <c r="D40" s="33" t="s">
        <v>2</v>
      </c>
      <c r="E40" s="58">
        <f>IF($E$3&gt;350,0,SQRT((4*$I$37)*(4*$I$37)-(I$36*$I$36)))</f>
        <v>14.832396974191326</v>
      </c>
      <c r="F40" s="35" t="s">
        <v>1</v>
      </c>
      <c r="G40" s="36">
        <f>($E$3*11.8/3)/(SQRT(R$3))</f>
        <v>683.09734585504657</v>
      </c>
      <c r="H40" s="37" t="s">
        <v>2</v>
      </c>
      <c r="I40" s="58">
        <f>IF($E$3&gt;350,$I$36,SQRT((6*$I$37)*(6*$I$37)-(I$36*$I$36)))</f>
        <v>23.2379000772445</v>
      </c>
      <c r="J40" s="38" t="s">
        <v>1</v>
      </c>
      <c r="K40" s="39">
        <f>C40*25.4/1000</f>
        <v>26.026008877077274</v>
      </c>
      <c r="L40" s="40" t="s">
        <v>2</v>
      </c>
      <c r="M40" s="22">
        <f>E40*25.4/1000</f>
        <v>0.37674288314445964</v>
      </c>
      <c r="N40" s="38" t="s">
        <v>0</v>
      </c>
      <c r="O40" s="59">
        <f>G40*25.4/1000</f>
        <v>17.350672584718179</v>
      </c>
      <c r="P40" s="40" t="s">
        <v>2</v>
      </c>
      <c r="Q40" s="22">
        <f>I40*25.4/1000</f>
        <v>0.59024266196201025</v>
      </c>
      <c r="R40" s="43" t="s">
        <v>0</v>
      </c>
    </row>
    <row r="41" spans="1:21" ht="13.5" customHeight="1" x14ac:dyDescent="0.25">
      <c r="B41" s="9" t="s">
        <v>16</v>
      </c>
      <c r="C41" s="56">
        <f>($E$3*11.8/2)/(SQRT(M$3))</f>
        <v>874.14069303488691</v>
      </c>
      <c r="D41" s="33" t="s">
        <v>2</v>
      </c>
      <c r="E41" s="19">
        <f>IF($E$3&gt;350,0,SQRT((2*$I$37)*(2*$I$37)-(I$36*$I$36)))</f>
        <v>5.2915026221291814</v>
      </c>
      <c r="F41" s="35" t="s">
        <v>1</v>
      </c>
      <c r="G41" s="20">
        <f>($E$3*11.8/3)/(SQRT(M$3))</f>
        <v>582.7604620232579</v>
      </c>
      <c r="H41" s="57" t="s">
        <v>2</v>
      </c>
      <c r="I41" s="19">
        <f>IF($E$3&gt;350,$I$36,SQRT((4*$I$37)*(4*$I$37)-(I$36*$I$36)))</f>
        <v>14.832396974191326</v>
      </c>
      <c r="J41" s="38" t="s">
        <v>1</v>
      </c>
      <c r="K41" s="39">
        <f>C41*25.4/1000</f>
        <v>22.203173603086125</v>
      </c>
      <c r="L41" s="57" t="s">
        <v>2</v>
      </c>
      <c r="M41" s="22">
        <f>E41*25.4/1000</f>
        <v>0.13440416660208121</v>
      </c>
      <c r="N41" s="38" t="s">
        <v>0</v>
      </c>
      <c r="O41" s="59">
        <f>G41*25.4/1000</f>
        <v>14.80211573539075</v>
      </c>
      <c r="P41" s="57" t="s">
        <v>2</v>
      </c>
      <c r="Q41" s="22">
        <f>I41*25.4/1000</f>
        <v>0.37674288314445964</v>
      </c>
      <c r="R41" s="43" t="s">
        <v>0</v>
      </c>
    </row>
    <row r="42" spans="1:21" ht="15" x14ac:dyDescent="0.25">
      <c r="A42" s="4"/>
      <c r="B42" s="179" t="s">
        <v>14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1"/>
      <c r="U42" s="2"/>
    </row>
    <row r="43" spans="1:21" ht="13.5" customHeight="1" x14ac:dyDescent="0.2">
      <c r="B43" s="9" t="s">
        <v>15</v>
      </c>
      <c r="C43" s="60">
        <f>($E$3*11.8/2)/(SQRT(R$3))*0.91</f>
        <v>932.4278770921386</v>
      </c>
      <c r="D43" s="33" t="s">
        <v>2</v>
      </c>
      <c r="E43" s="58">
        <f>IF($E$3&gt;350,0,SQRT((5*$I$37)*(5*$I$37)-(I$36*$I$36)))</f>
        <v>19.078784028338912</v>
      </c>
      <c r="F43" s="35" t="s">
        <v>1</v>
      </c>
      <c r="G43" s="36">
        <f>($E$3*11.8/3)/(SQRT(R$3))*0.91</f>
        <v>621.6185847280924</v>
      </c>
      <c r="H43" s="37" t="s">
        <v>2</v>
      </c>
      <c r="I43" s="58">
        <f>IF($E$3&gt;350,$I$36,SQRT((7*$I$37)*(7*$I$37)-(I$36*$I$36)))</f>
        <v>27.349588662354687</v>
      </c>
      <c r="J43" s="38" t="s">
        <v>1</v>
      </c>
      <c r="K43" s="39">
        <f>C43*25.4/1000</f>
        <v>23.683668078140318</v>
      </c>
      <c r="L43" s="40" t="s">
        <v>2</v>
      </c>
      <c r="M43" s="22">
        <f>E43*25.4/1000</f>
        <v>0.48460111431980835</v>
      </c>
      <c r="N43" s="38" t="s">
        <v>0</v>
      </c>
      <c r="O43" s="61">
        <f>G43*25.4/1000</f>
        <v>15.789112052093545</v>
      </c>
      <c r="P43" s="40" t="s">
        <v>2</v>
      </c>
      <c r="Q43" s="22">
        <f>I43*25.4/1000</f>
        <v>0.69467955202380904</v>
      </c>
      <c r="R43" s="43" t="s">
        <v>0</v>
      </c>
    </row>
    <row r="44" spans="1:21" ht="13.5" customHeight="1" thickBot="1" x14ac:dyDescent="0.25">
      <c r="B44" s="10" t="s">
        <v>16</v>
      </c>
      <c r="C44" s="44">
        <f>($E$3*11.8/2)/(SQRT(M$3))*0.91</f>
        <v>795.46803066174709</v>
      </c>
      <c r="D44" s="45" t="s">
        <v>2</v>
      </c>
      <c r="E44" s="27">
        <f>IF($E$3&gt;350,0,SQRT((4*$I$37)*(4*$I$37)-(I$36*$I$36)))</f>
        <v>14.832396974191326</v>
      </c>
      <c r="F44" s="46" t="s">
        <v>1</v>
      </c>
      <c r="G44" s="47">
        <f>($E$3*11.8/3)/(SQRT(M$3))*0.91</f>
        <v>530.31202044116469</v>
      </c>
      <c r="H44" s="45" t="s">
        <v>2</v>
      </c>
      <c r="I44" s="27">
        <f>IF($E$3&gt;350,$I$36,SQRT((6*$I$37)*(6*$I$37)-(I$36*$I$36)))</f>
        <v>23.2379000772445</v>
      </c>
      <c r="J44" s="48" t="s">
        <v>1</v>
      </c>
      <c r="K44" s="49">
        <f>C44*25.4/1000</f>
        <v>20.204887978808376</v>
      </c>
      <c r="L44" s="45" t="s">
        <v>2</v>
      </c>
      <c r="M44" s="50">
        <f>E44*25.4/1000</f>
        <v>0.37674288314445964</v>
      </c>
      <c r="N44" s="48" t="s">
        <v>0</v>
      </c>
      <c r="O44" s="62">
        <f>G44*25.4/1000</f>
        <v>13.469925319205583</v>
      </c>
      <c r="P44" s="45" t="s">
        <v>2</v>
      </c>
      <c r="Q44" s="50">
        <f>I44*25.4/1000</f>
        <v>0.59024266196201025</v>
      </c>
      <c r="R44" s="52" t="s">
        <v>0</v>
      </c>
    </row>
    <row r="45" spans="1:21" s="70" customFormat="1" ht="3.75" customHeight="1" thickBot="1" x14ac:dyDescent="0.3">
      <c r="F45" s="71"/>
      <c r="R45" s="71"/>
    </row>
    <row r="46" spans="1:21" ht="18" customHeight="1" thickBot="1" x14ac:dyDescent="0.3">
      <c r="B46" s="122" t="s">
        <v>24</v>
      </c>
      <c r="C46" s="123"/>
      <c r="D46" s="123"/>
      <c r="E46" s="123"/>
      <c r="F46" s="123"/>
      <c r="G46" s="123"/>
      <c r="H46" s="123"/>
      <c r="I46" s="123"/>
      <c r="J46" s="123"/>
      <c r="K46" s="154"/>
      <c r="L46" s="154"/>
      <c r="M46" s="154"/>
      <c r="N46" s="154"/>
      <c r="O46" s="154"/>
      <c r="P46" s="154"/>
      <c r="Q46" s="154"/>
      <c r="R46" s="155"/>
    </row>
    <row r="47" spans="1:21" ht="13.5" customHeight="1" x14ac:dyDescent="0.25">
      <c r="B47" s="109"/>
      <c r="C47" s="103"/>
      <c r="D47" s="13"/>
      <c r="E47" s="11"/>
      <c r="F47" s="104"/>
      <c r="G47" s="13"/>
      <c r="H47" s="8"/>
      <c r="I47" s="11"/>
      <c r="J47" s="11"/>
      <c r="K47" s="114" t="s">
        <v>30</v>
      </c>
      <c r="L47" s="11"/>
      <c r="M47" s="110">
        <v>4</v>
      </c>
      <c r="N47" s="111" t="s">
        <v>1</v>
      </c>
      <c r="O47" s="78">
        <f>M47*24.5/1000</f>
        <v>9.8000000000000004E-2</v>
      </c>
      <c r="P47" s="113" t="s">
        <v>0</v>
      </c>
      <c r="Q47" s="85"/>
      <c r="R47" s="112"/>
      <c r="T47"/>
    </row>
    <row r="48" spans="1:21" ht="13.5" customHeight="1" x14ac:dyDescent="0.25">
      <c r="B48" s="107"/>
      <c r="C48" s="156" t="s">
        <v>10</v>
      </c>
      <c r="D48" s="149"/>
      <c r="E48" s="149"/>
      <c r="F48" s="150"/>
      <c r="G48" s="151" t="s">
        <v>11</v>
      </c>
      <c r="H48" s="152"/>
      <c r="I48" s="152"/>
      <c r="J48" s="153"/>
      <c r="K48" s="156" t="s">
        <v>10</v>
      </c>
      <c r="L48" s="149"/>
      <c r="M48" s="149"/>
      <c r="N48" s="150"/>
      <c r="O48" s="151" t="s">
        <v>11</v>
      </c>
      <c r="P48" s="152"/>
      <c r="Q48" s="152"/>
      <c r="R48" s="153"/>
    </row>
    <row r="49" spans="2:20" ht="13.5" customHeight="1" x14ac:dyDescent="0.25">
      <c r="B49" s="9" t="s">
        <v>15</v>
      </c>
      <c r="C49" s="162">
        <f>IF($E$3&gt;350,3*$M$47,4*$M$47)</f>
        <v>16</v>
      </c>
      <c r="D49" s="160"/>
      <c r="E49" s="41" t="s">
        <v>1</v>
      </c>
      <c r="F49" s="63"/>
      <c r="G49" s="160">
        <f>IF($E$3&gt;350,4*$M$47,5*$M$47)</f>
        <v>20</v>
      </c>
      <c r="H49" s="160"/>
      <c r="I49" s="41" t="s">
        <v>1</v>
      </c>
      <c r="J49" s="43"/>
      <c r="K49" s="164">
        <f>C49*25.4/1000</f>
        <v>0.40639999999999998</v>
      </c>
      <c r="L49" s="163"/>
      <c r="M49" s="41" t="s">
        <v>0</v>
      </c>
      <c r="N49" s="63"/>
      <c r="O49" s="163">
        <f>G49*25.4/1000</f>
        <v>0.50800000000000001</v>
      </c>
      <c r="P49" s="163"/>
      <c r="Q49" s="41" t="s">
        <v>0</v>
      </c>
      <c r="R49" s="64"/>
      <c r="T49"/>
    </row>
    <row r="50" spans="2:20" ht="13.5" customHeight="1" thickBot="1" x14ac:dyDescent="0.3">
      <c r="B50" s="10" t="s">
        <v>16</v>
      </c>
      <c r="C50" s="165">
        <f>IF($E$3&gt;350,2*$M$47,3*$M$47)</f>
        <v>12</v>
      </c>
      <c r="D50" s="159"/>
      <c r="E50" s="30" t="s">
        <v>1</v>
      </c>
      <c r="F50" s="65"/>
      <c r="G50" s="159">
        <f>IF($E$3&gt;350,3*$M$47,4*$M$47)</f>
        <v>16</v>
      </c>
      <c r="H50" s="159"/>
      <c r="I50" s="30" t="s">
        <v>1</v>
      </c>
      <c r="J50" s="52"/>
      <c r="K50" s="167">
        <f>C50*25.4/1000</f>
        <v>0.30479999999999996</v>
      </c>
      <c r="L50" s="166"/>
      <c r="M50" s="30" t="s">
        <v>0</v>
      </c>
      <c r="N50" s="65"/>
      <c r="O50" s="166">
        <f>G50*25.4/1000</f>
        <v>0.40639999999999998</v>
      </c>
      <c r="P50" s="166"/>
      <c r="Q50" s="30" t="s">
        <v>0</v>
      </c>
      <c r="R50" s="66"/>
      <c r="T50"/>
    </row>
    <row r="51" spans="2:20" s="70" customFormat="1" ht="3.75" customHeight="1" thickBot="1" x14ac:dyDescent="0.3">
      <c r="F51" s="71"/>
      <c r="R51" s="71"/>
    </row>
    <row r="52" spans="2:20" ht="18" customHeight="1" thickBot="1" x14ac:dyDescent="0.3">
      <c r="B52" s="122" t="s">
        <v>18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4"/>
    </row>
    <row r="53" spans="2:20" ht="13.5" customHeight="1" x14ac:dyDescent="0.25">
      <c r="B53" s="75"/>
      <c r="C53" s="156" t="s">
        <v>10</v>
      </c>
      <c r="D53" s="149"/>
      <c r="E53" s="149"/>
      <c r="F53" s="150"/>
      <c r="G53" s="151" t="s">
        <v>11</v>
      </c>
      <c r="H53" s="152"/>
      <c r="I53" s="152"/>
      <c r="J53" s="153"/>
      <c r="K53" s="156" t="s">
        <v>10</v>
      </c>
      <c r="L53" s="149"/>
      <c r="M53" s="149"/>
      <c r="N53" s="150"/>
      <c r="O53" s="151" t="s">
        <v>11</v>
      </c>
      <c r="P53" s="152"/>
      <c r="Q53" s="152"/>
      <c r="R53" s="153"/>
    </row>
    <row r="54" spans="2:20" ht="13.5" customHeight="1" thickBot="1" x14ac:dyDescent="0.3">
      <c r="B54" s="14"/>
      <c r="C54" s="169">
        <f>(300/(140/$E$3))</f>
        <v>642.85714285714289</v>
      </c>
      <c r="D54" s="168"/>
      <c r="E54" s="69" t="s">
        <v>1</v>
      </c>
      <c r="F54" s="67"/>
      <c r="G54" s="168">
        <f>(200/(140/$E$3))</f>
        <v>428.57142857142856</v>
      </c>
      <c r="H54" s="168"/>
      <c r="I54" s="69" t="s">
        <v>1</v>
      </c>
      <c r="J54" s="68"/>
      <c r="K54" s="171">
        <f>C54*25.4/1000</f>
        <v>16.328571428571429</v>
      </c>
      <c r="L54" s="170"/>
      <c r="M54" s="69" t="s">
        <v>0</v>
      </c>
      <c r="N54" s="67"/>
      <c r="O54" s="170">
        <f>G54*25.4/1000</f>
        <v>10.885714285714284</v>
      </c>
      <c r="P54" s="170"/>
      <c r="Q54" s="69" t="s">
        <v>0</v>
      </c>
      <c r="R54" s="68"/>
    </row>
    <row r="55" spans="2:20" ht="13.5" customHeight="1" x14ac:dyDescent="0.25">
      <c r="B55" s="192" t="s">
        <v>31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</row>
    <row r="56" spans="2:20" ht="7.5" customHeight="1" x14ac:dyDescent="0.25"/>
  </sheetData>
  <sheetProtection algorithmName="SHA-512" hashValue="8ojLy5fvxtZfRu1A6VTDxjRTLnRvWLxEovAa4uL/+gFv7STuObbowcXqV5zw5gvu0cdD2LS3CeLZVsTF2+YE/g==" saltValue="6H107OJISDB9VO6QQTpHWQ==" spinCount="100000" sheet="1" selectLockedCells="1"/>
  <mergeCells count="95">
    <mergeCell ref="B55:R55"/>
    <mergeCell ref="B2:R2"/>
    <mergeCell ref="B4:J4"/>
    <mergeCell ref="E3:F3"/>
    <mergeCell ref="B20:R20"/>
    <mergeCell ref="K13:L13"/>
    <mergeCell ref="M13:N13"/>
    <mergeCell ref="K9:L9"/>
    <mergeCell ref="M9:N9"/>
    <mergeCell ref="K10:L10"/>
    <mergeCell ref="M10:N10"/>
    <mergeCell ref="C13:D13"/>
    <mergeCell ref="E13:F13"/>
    <mergeCell ref="C16:F16"/>
    <mergeCell ref="G16:J16"/>
    <mergeCell ref="K16:N16"/>
    <mergeCell ref="O16:R16"/>
    <mergeCell ref="G48:J48"/>
    <mergeCell ref="K48:N48"/>
    <mergeCell ref="O48:R48"/>
    <mergeCell ref="B27:B28"/>
    <mergeCell ref="C28:R28"/>
    <mergeCell ref="C39:R39"/>
    <mergeCell ref="B38:B39"/>
    <mergeCell ref="K27:N27"/>
    <mergeCell ref="O27:R27"/>
    <mergeCell ref="C38:F38"/>
    <mergeCell ref="G38:J38"/>
    <mergeCell ref="K38:N38"/>
    <mergeCell ref="O38:R38"/>
    <mergeCell ref="B31:R31"/>
    <mergeCell ref="B42:R42"/>
    <mergeCell ref="G54:H54"/>
    <mergeCell ref="C54:D54"/>
    <mergeCell ref="O54:P54"/>
    <mergeCell ref="K54:L54"/>
    <mergeCell ref="C53:F53"/>
    <mergeCell ref="G53:J53"/>
    <mergeCell ref="K53:N53"/>
    <mergeCell ref="O53:R53"/>
    <mergeCell ref="C49:D49"/>
    <mergeCell ref="O49:P49"/>
    <mergeCell ref="K49:L49"/>
    <mergeCell ref="C50:D50"/>
    <mergeCell ref="O50:P50"/>
    <mergeCell ref="K50:L50"/>
    <mergeCell ref="B52:R52"/>
    <mergeCell ref="C27:F27"/>
    <mergeCell ref="G27:J27"/>
    <mergeCell ref="B25:R25"/>
    <mergeCell ref="O21:R21"/>
    <mergeCell ref="C21:F21"/>
    <mergeCell ref="G21:J21"/>
    <mergeCell ref="K21:N21"/>
    <mergeCell ref="L26:M26"/>
    <mergeCell ref="B35:R35"/>
    <mergeCell ref="B46:R46"/>
    <mergeCell ref="C48:F48"/>
    <mergeCell ref="G50:H50"/>
    <mergeCell ref="G49:H49"/>
    <mergeCell ref="L36:M36"/>
    <mergeCell ref="L37:M37"/>
    <mergeCell ref="O13:P13"/>
    <mergeCell ref="Q10:R10"/>
    <mergeCell ref="G12:H12"/>
    <mergeCell ref="I12:J12"/>
    <mergeCell ref="C12:D12"/>
    <mergeCell ref="K12:L12"/>
    <mergeCell ref="M12:N12"/>
    <mergeCell ref="Q13:R13"/>
    <mergeCell ref="G13:H13"/>
    <mergeCell ref="I13:J13"/>
    <mergeCell ref="O10:P10"/>
    <mergeCell ref="O7:R7"/>
    <mergeCell ref="G9:H9"/>
    <mergeCell ref="I9:J9"/>
    <mergeCell ref="C9:D9"/>
    <mergeCell ref="E9:F9"/>
    <mergeCell ref="O9:P9"/>
    <mergeCell ref="K4:R4"/>
    <mergeCell ref="B6:R6"/>
    <mergeCell ref="B15:R15"/>
    <mergeCell ref="B8:R8"/>
    <mergeCell ref="B11:R11"/>
    <mergeCell ref="E12:F12"/>
    <mergeCell ref="O12:P12"/>
    <mergeCell ref="Q12:R12"/>
    <mergeCell ref="G10:H10"/>
    <mergeCell ref="I10:J10"/>
    <mergeCell ref="C10:D10"/>
    <mergeCell ref="E10:F10"/>
    <mergeCell ref="Q9:R9"/>
    <mergeCell ref="C7:F7"/>
    <mergeCell ref="G7:J7"/>
    <mergeCell ref="K7:N7"/>
  </mergeCells>
  <pageMargins left="0.25" right="0.25" top="0.75" bottom="0.75" header="0.3" footer="0.3"/>
  <pageSetup paperSize="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2E26B-B35F-4B99-B259-FE7ADA538A9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Pfeil</dc:creator>
  <cp:lastModifiedBy>Charles Pfeil</cp:lastModifiedBy>
  <cp:lastPrinted>2019-12-06T17:35:49Z</cp:lastPrinted>
  <dcterms:created xsi:type="dcterms:W3CDTF">2019-01-16T20:11:45Z</dcterms:created>
  <dcterms:modified xsi:type="dcterms:W3CDTF">2020-03-28T15:58:19Z</dcterms:modified>
</cp:coreProperties>
</file>